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16260" windowHeight="11300" activeTab="0"/>
  </bookViews>
  <sheets>
    <sheet name="Leq &amp; Dose" sheetId="1" r:id="rId1"/>
    <sheet name="One Location" sheetId="2" r:id="rId2"/>
    <sheet name="Noise-BHBM" sheetId="3" r:id="rId3"/>
    <sheet name="Tables" sheetId="4" r:id="rId4"/>
  </sheets>
  <definedNames/>
  <calcPr fullCalcOnLoad="1"/>
</workbook>
</file>

<file path=xl/comments1.xml><?xml version="1.0" encoding="utf-8"?>
<comments xmlns="http://schemas.openxmlformats.org/spreadsheetml/2006/main">
  <authors>
    <author>Door Mouse</author>
  </authors>
  <commentList>
    <comment ref="M28" authorId="0">
      <text>
        <r>
          <rPr>
            <b/>
            <sz val="9"/>
            <rFont val="Geneva"/>
            <family val="0"/>
          </rPr>
          <t>Exchange Rate</t>
        </r>
      </text>
    </comment>
    <comment ref="L28" authorId="0">
      <text>
        <r>
          <rPr>
            <b/>
            <sz val="9"/>
            <rFont val="Geneva"/>
            <family val="0"/>
          </rPr>
          <t>Criterion Time</t>
        </r>
      </text>
    </comment>
    <comment ref="K28" authorId="0">
      <text>
        <r>
          <rPr>
            <b/>
            <sz val="9"/>
            <rFont val="Geneva"/>
            <family val="0"/>
          </rPr>
          <t>Criterion Level</t>
        </r>
      </text>
    </comment>
  </commentList>
</comments>
</file>

<file path=xl/sharedStrings.xml><?xml version="1.0" encoding="utf-8"?>
<sst xmlns="http://schemas.openxmlformats.org/spreadsheetml/2006/main" count="82" uniqueCount="64">
  <si>
    <t>Octave Bands (Hz)</t>
  </si>
  <si>
    <t>Total</t>
  </si>
  <si>
    <t>Spectral Power Distribution (dB)</t>
  </si>
  <si>
    <t>Data in dB</t>
  </si>
  <si>
    <t>Sensitivity Curve (1000 Hz ref)</t>
  </si>
  <si>
    <t>Spectral Power Distribution</t>
  </si>
  <si>
    <t>Criterion Level</t>
  </si>
  <si>
    <t>TLV</t>
  </si>
  <si>
    <t>∆dBA</t>
  </si>
  <si>
    <t>Criteria for TLV and PEL</t>
  </si>
  <si>
    <t>Dose and Equivalent Sound Pressure Level</t>
  </si>
  <si>
    <t>Location</t>
  </si>
  <si>
    <t>Dose</t>
  </si>
  <si>
    <t>[%]</t>
  </si>
  <si>
    <t>[dBA]</t>
  </si>
  <si>
    <t>Total Time</t>
  </si>
  <si>
    <t>Duration (min)</t>
  </si>
  <si>
    <t>Q</t>
  </si>
  <si>
    <t>PEL</t>
  </si>
  <si>
    <t>Thomas E. Bernard</t>
  </si>
  <si>
    <t>College of Public Health</t>
  </si>
  <si>
    <t>University of South Florida</t>
  </si>
  <si>
    <t>Tampa FL 33612</t>
  </si>
  <si>
    <t>Analysis in dB</t>
  </si>
  <si>
    <t>Description Code</t>
  </si>
  <si>
    <t>D[%]</t>
  </si>
  <si>
    <t>Exposure Criteria</t>
  </si>
  <si>
    <t>Hazard Function (1000 Hz ref)</t>
  </si>
  <si>
    <t>Noise:  Sensitivity Curve and Hazard Function</t>
  </si>
  <si>
    <t>T</t>
  </si>
  <si>
    <t>ACGIH TLV</t>
  </si>
  <si>
    <t>OSHA PEL</t>
  </si>
  <si>
    <t>C/T</t>
  </si>
  <si>
    <t>A-Wt Filter Curve (aka Hazard Function)</t>
  </si>
  <si>
    <t>Hazard Function (linear)</t>
  </si>
  <si>
    <t>Exposure Exceedence</t>
  </si>
  <si>
    <t>Effective Exposure (dBA)</t>
  </si>
  <si>
    <t>Noise: Sound Pressure Level and Intensity</t>
  </si>
  <si>
    <t>Tables</t>
  </si>
  <si>
    <t>No warranty is expressed or implied.</t>
  </si>
  <si>
    <t>Single Band Threshold Limit</t>
  </si>
  <si>
    <t>etc.</t>
  </si>
  <si>
    <t>One</t>
  </si>
  <si>
    <t>Another</t>
  </si>
  <si>
    <t>Multiples of Limit Based on Intesity</t>
  </si>
  <si>
    <t>Multiples of Limit Computed from ∆dBA</t>
  </si>
  <si>
    <t>Linear</t>
  </si>
  <si>
    <t>A-Scale</t>
  </si>
  <si>
    <t>Effective Exposure (=SPD*HF)</t>
  </si>
  <si>
    <t>Analysis as Intensity</t>
  </si>
  <si>
    <r>
      <t>Intensity [W/m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]</t>
    </r>
  </si>
  <si>
    <r>
      <t>p [N/m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]</t>
    </r>
  </si>
  <si>
    <r>
      <t>Data in W/m</t>
    </r>
    <r>
      <rPr>
        <b/>
        <vertAlign val="superscript"/>
        <sz val="10"/>
        <rFont val="Arial"/>
        <family val="0"/>
      </rPr>
      <t>2</t>
    </r>
  </si>
  <si>
    <r>
      <t>L</t>
    </r>
    <r>
      <rPr>
        <vertAlign val="subscript"/>
        <sz val="10"/>
        <rFont val="Arial"/>
        <family val="0"/>
      </rPr>
      <t>c</t>
    </r>
    <r>
      <rPr>
        <sz val="10"/>
        <rFont val="Arial"/>
        <family val="0"/>
      </rPr>
      <t xml:space="preserve"> [dBA]</t>
    </r>
  </si>
  <si>
    <r>
      <t>T</t>
    </r>
    <r>
      <rPr>
        <vertAlign val="subscript"/>
        <sz val="10"/>
        <rFont val="Arial"/>
        <family val="0"/>
      </rPr>
      <t>c</t>
    </r>
    <r>
      <rPr>
        <sz val="10"/>
        <rFont val="Arial"/>
        <family val="0"/>
      </rPr>
      <t xml:space="preserve"> [min]</t>
    </r>
  </si>
  <si>
    <r>
      <t>L</t>
    </r>
    <r>
      <rPr>
        <vertAlign val="subscript"/>
        <sz val="10"/>
        <rFont val="Arial"/>
        <family val="0"/>
      </rPr>
      <t>p</t>
    </r>
    <r>
      <rPr>
        <sz val="10"/>
        <rFont val="Arial"/>
        <family val="0"/>
      </rPr>
      <t xml:space="preserve"> [dBA]</t>
    </r>
  </si>
  <si>
    <r>
      <t>L</t>
    </r>
    <r>
      <rPr>
        <b/>
        <vertAlign val="subscript"/>
        <sz val="10"/>
        <rFont val="Arial"/>
        <family val="0"/>
      </rPr>
      <t>p-eq</t>
    </r>
  </si>
  <si>
    <r>
      <t>Single Band Threshold Limit [W/m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]</t>
    </r>
  </si>
  <si>
    <r>
      <t>Single Band Threshold Limit [mW/m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]</t>
    </r>
  </si>
  <si>
    <r>
      <t>10^(L</t>
    </r>
    <r>
      <rPr>
        <vertAlign val="subscript"/>
        <sz val="9"/>
        <rFont val="Arial"/>
        <family val="0"/>
      </rPr>
      <t>p</t>
    </r>
    <r>
      <rPr>
        <sz val="9"/>
        <rFont val="Arial"/>
        <family val="0"/>
      </rPr>
      <t>/10)</t>
    </r>
  </si>
  <si>
    <t>US Navy</t>
  </si>
  <si>
    <t>v3.0  4/21/09 © 2009 Thomas E. Bernard</t>
  </si>
  <si>
    <t>For updates, see http://personal.health.usf.edu/tbernard</t>
  </si>
  <si>
    <t>813-974-6629 // tbernard@health.usf.edu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</si>
</sst>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E+00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E+00"/>
    <numFmt numFmtId="172" formatCode="0.000E+00"/>
    <numFmt numFmtId="173" formatCode="0.00000000"/>
    <numFmt numFmtId="174" formatCode="0.00000E+00"/>
  </numFmts>
  <fonts count="1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9"/>
      <name val="Geneva"/>
      <family val="0"/>
    </font>
    <font>
      <vertAlign val="superscript"/>
      <sz val="10"/>
      <name val="Arial"/>
      <family val="0"/>
    </font>
    <font>
      <b/>
      <vertAlign val="superscript"/>
      <sz val="10"/>
      <name val="Arial"/>
      <family val="0"/>
    </font>
    <font>
      <u val="single"/>
      <sz val="10"/>
      <color indexed="12"/>
      <name val="Helv"/>
      <family val="0"/>
    </font>
    <font>
      <u val="single"/>
      <sz val="10"/>
      <color indexed="61"/>
      <name val="Helv"/>
      <family val="0"/>
    </font>
    <font>
      <vertAlign val="subscript"/>
      <sz val="10"/>
      <name val="Arial"/>
      <family val="0"/>
    </font>
    <font>
      <b/>
      <vertAlign val="subscript"/>
      <sz val="10"/>
      <name val="Arial"/>
      <family val="0"/>
    </font>
    <font>
      <vertAlign val="subscript"/>
      <sz val="9"/>
      <name val="Arial"/>
      <family val="0"/>
    </font>
    <font>
      <sz val="12"/>
      <name val="Arial"/>
      <family val="0"/>
    </font>
    <font>
      <b/>
      <sz val="8"/>
      <name val="Helv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2" borderId="0" xfId="0" applyFont="1" applyFill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68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8" fillId="2" borderId="0" xfId="0" applyFont="1" applyFill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17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4" fillId="2" borderId="0" xfId="0" applyFont="1" applyFill="1" applyAlignment="1" applyProtection="1">
      <alignment horizontal="right"/>
      <protection locked="0"/>
    </xf>
    <xf numFmtId="169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169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'Noise-BHBM'!$A$10</c:f>
              <c:strCache>
                <c:ptCount val="1"/>
                <c:pt idx="0">
                  <c:v>Hazard Function (1000 Hz ref)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'Noise-BHBM'!$B$3:$H$3</c:f>
              <c:numCache/>
            </c:numRef>
          </c:xVal>
          <c:yVal>
            <c:numRef>
              <c:f>'Noise-BHBM'!$B$10:$H$10</c:f>
              <c:numCache/>
            </c:numRef>
          </c:yVal>
          <c:smooth val="0"/>
        </c:ser>
        <c:axId val="27534264"/>
        <c:axId val="46481785"/>
      </c:scatterChart>
      <c:valAx>
        <c:axId val="27534264"/>
        <c:scaling>
          <c:logBase val="10"/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Frequency 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6481785"/>
        <c:crossesAt val="-18"/>
        <c:crossBetween val="midCat"/>
        <c:dispUnits/>
      </c:valAx>
      <c:valAx>
        <c:axId val="46481785"/>
        <c:scaling>
          <c:orientation val="minMax"/>
          <c:max val="4"/>
          <c:min val="-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A-Scale 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534264"/>
        <c:crossesAt val="100"/>
        <c:crossBetween val="midCat"/>
        <c:dispUnits/>
        <c:majorUnit val="4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'Noise-BHBM'!$A$20</c:f>
              <c:strCache>
                <c:ptCount val="1"/>
                <c:pt idx="0">
                  <c:v>Hazard Function (1000 Hz ref)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'Noise-BHBM'!$B$3:$H$3</c:f>
              <c:numCache/>
            </c:numRef>
          </c:xVal>
          <c:yVal>
            <c:numRef>
              <c:f>'Noise-BHBM'!$B$20:$H$20</c:f>
              <c:numCache/>
            </c:numRef>
          </c:yVal>
          <c:smooth val="0"/>
        </c:ser>
        <c:axId val="15682882"/>
        <c:axId val="6928211"/>
      </c:scatterChart>
      <c:valAx>
        <c:axId val="15682882"/>
        <c:scaling>
          <c:logBase val="10"/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Frequency 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928211"/>
        <c:crossesAt val="0"/>
        <c:crossBetween val="midCat"/>
        <c:dispUnits/>
      </c:valAx>
      <c:valAx>
        <c:axId val="6928211"/>
        <c:scaling>
          <c:orientation val="minMax"/>
          <c:max val="1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A-Scale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5682882"/>
        <c:crossesAt val="100"/>
        <c:crossBetween val="midCat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</xdr:row>
      <xdr:rowOff>57150</xdr:rowOff>
    </xdr:from>
    <xdr:to>
      <xdr:col>17</xdr:col>
      <xdr:colOff>28575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8943975" y="247650"/>
        <a:ext cx="63341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22</xdr:row>
      <xdr:rowOff>123825</xdr:rowOff>
    </xdr:from>
    <xdr:to>
      <xdr:col>17</xdr:col>
      <xdr:colOff>38100</xdr:colOff>
      <xdr:row>43</xdr:row>
      <xdr:rowOff>38100</xdr:rowOff>
    </xdr:to>
    <xdr:graphicFrame>
      <xdr:nvGraphicFramePr>
        <xdr:cNvPr id="2" name="Chart 2"/>
        <xdr:cNvGraphicFramePr/>
      </xdr:nvGraphicFramePr>
      <xdr:xfrm>
        <a:off x="8943975" y="3590925"/>
        <a:ext cx="63436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304800</xdr:colOff>
      <xdr:row>5</xdr:row>
      <xdr:rowOff>85725</xdr:rowOff>
    </xdr:from>
    <xdr:to>
      <xdr:col>16</xdr:col>
      <xdr:colOff>352425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 flipV="1">
          <a:off x="9763125" y="904875"/>
          <a:ext cx="5114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9</xdr:col>
      <xdr:colOff>323850</xdr:colOff>
      <xdr:row>28</xdr:row>
      <xdr:rowOff>76200</xdr:rowOff>
    </xdr:from>
    <xdr:to>
      <xdr:col>16</xdr:col>
      <xdr:colOff>361950</xdr:colOff>
      <xdr:row>28</xdr:row>
      <xdr:rowOff>76200</xdr:rowOff>
    </xdr:to>
    <xdr:sp>
      <xdr:nvSpPr>
        <xdr:cNvPr id="4" name="Line 4"/>
        <xdr:cNvSpPr>
          <a:spLocks/>
        </xdr:cNvSpPr>
      </xdr:nvSpPr>
      <xdr:spPr>
        <a:xfrm>
          <a:off x="9782175" y="4467225"/>
          <a:ext cx="510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tabSelected="1" workbookViewId="0" topLeftCell="A1">
      <selection activeCell="B4" sqref="B4"/>
    </sheetView>
  </sheetViews>
  <sheetFormatPr defaultColWidth="11.421875" defaultRowHeight="12.75"/>
  <cols>
    <col min="1" max="1" width="18.140625" style="2" customWidth="1"/>
    <col min="2" max="13" width="11.00390625" style="1" customWidth="1"/>
    <col min="14" max="16384" width="10.8515625" style="2" customWidth="1"/>
  </cols>
  <sheetData>
    <row r="1" spans="1:4" ht="15.75">
      <c r="A1" s="25" t="s">
        <v>10</v>
      </c>
      <c r="B1" s="25"/>
      <c r="C1" s="25"/>
      <c r="D1" s="25"/>
    </row>
    <row r="2" ht="12.75"/>
    <row r="3" spans="1:13" s="3" customFormat="1" ht="15.75">
      <c r="A3" s="3" t="s">
        <v>11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 t="s">
        <v>12</v>
      </c>
      <c r="M3" s="4" t="s">
        <v>56</v>
      </c>
    </row>
    <row r="4" spans="1:13" s="3" customFormat="1" ht="12.75">
      <c r="A4" s="7" t="s">
        <v>24</v>
      </c>
      <c r="B4" s="16" t="s">
        <v>42</v>
      </c>
      <c r="C4" s="16" t="s">
        <v>43</v>
      </c>
      <c r="D4" s="16" t="s">
        <v>41</v>
      </c>
      <c r="E4" s="16"/>
      <c r="F4" s="16"/>
      <c r="G4" s="16"/>
      <c r="H4" s="16"/>
      <c r="I4" s="16"/>
      <c r="J4" s="16"/>
      <c r="K4" s="16"/>
      <c r="L4" s="1" t="s">
        <v>13</v>
      </c>
      <c r="M4" s="1" t="s">
        <v>14</v>
      </c>
    </row>
    <row r="5" ht="12.75"/>
    <row r="6" spans="1:11" ht="15.75">
      <c r="A6" s="2" t="s">
        <v>55</v>
      </c>
      <c r="B6" s="5">
        <v>85</v>
      </c>
      <c r="C6" s="5">
        <v>88</v>
      </c>
      <c r="D6" s="5">
        <v>90</v>
      </c>
      <c r="E6" s="5">
        <v>91</v>
      </c>
      <c r="F6" s="5">
        <v>94</v>
      </c>
      <c r="G6" s="5">
        <v>95</v>
      </c>
      <c r="H6" s="5">
        <v>97</v>
      </c>
      <c r="I6" s="5"/>
      <c r="J6" s="5"/>
      <c r="K6" s="5"/>
    </row>
    <row r="7" ht="12.75">
      <c r="L7" s="1" t="s">
        <v>15</v>
      </c>
    </row>
    <row r="8" spans="1:12" ht="12.75">
      <c r="A8" s="2" t="s">
        <v>16</v>
      </c>
      <c r="B8" s="5">
        <v>30</v>
      </c>
      <c r="C8" s="5">
        <v>30</v>
      </c>
      <c r="D8" s="5">
        <v>30</v>
      </c>
      <c r="E8" s="5">
        <v>30</v>
      </c>
      <c r="F8" s="5">
        <v>30</v>
      </c>
      <c r="G8" s="5">
        <v>30</v>
      </c>
      <c r="H8" s="5">
        <v>30</v>
      </c>
      <c r="I8" s="5"/>
      <c r="J8" s="5"/>
      <c r="K8" s="5"/>
      <c r="L8" s="1">
        <f>SUM(B8:K8)</f>
        <v>210</v>
      </c>
    </row>
    <row r="9" ht="12.75"/>
    <row r="10" ht="12.75"/>
    <row r="11" spans="1:12" ht="12.75">
      <c r="A11" s="2" t="s">
        <v>30</v>
      </c>
      <c r="L11" s="1" t="str">
        <f>'Leq &amp; Dose'!J29</f>
        <v>TLV</v>
      </c>
    </row>
    <row r="12" spans="1:13" ht="15.75">
      <c r="A12" s="2" t="s">
        <v>29</v>
      </c>
      <c r="B12" s="12">
        <f>IF(OR(B$6="",B$8=""),"",'Leq &amp; Dose'!$L$29/(2^((B6-'Leq &amp; Dose'!$K$29)/'Leq &amp; Dose'!$M$29)))</f>
        <v>480</v>
      </c>
      <c r="C12" s="12">
        <f>IF(OR(C$6="",C$8=""),"",'Leq &amp; Dose'!$L$29/(2^((C6-'Leq &amp; Dose'!$K$29)/'Leq &amp; Dose'!$M$29)))</f>
        <v>240</v>
      </c>
      <c r="D12" s="12">
        <f>IF(OR(D$6="",D$8=""),"",'Leq &amp; Dose'!$L$29/(2^((D6-'Leq &amp; Dose'!$K$29)/'Leq &amp; Dose'!$M$29)))</f>
        <v>151.1905259873848</v>
      </c>
      <c r="E12" s="12">
        <f>IF(OR(E$6="",E$8=""),"",'Leq &amp; Dose'!$L$29/(2^((E6-'Leq &amp; Dose'!$K$29)/'Leq &amp; Dose'!$M$29)))</f>
        <v>120</v>
      </c>
      <c r="F12" s="12">
        <f>IF(OR(F$6="",F$8=""),"",'Leq &amp; Dose'!$L$29/(2^((F6-'Leq &amp; Dose'!$K$29)/'Leq &amp; Dose'!$M$29)))</f>
        <v>60</v>
      </c>
      <c r="G12" s="12">
        <f>IF(OR(G$6="",G$8=""),"",'Leq &amp; Dose'!$L$29/(2^((G6-'Leq &amp; Dose'!$K$29)/'Leq &amp; Dose'!$M$29)))</f>
        <v>47.622031559045986</v>
      </c>
      <c r="H12" s="12">
        <f>IF(OR(H$6="",H$8=""),"",'Leq &amp; Dose'!$L$29/(2^((H6-'Leq &amp; Dose'!$K$29)/'Leq &amp; Dose'!$M$29)))</f>
        <v>30</v>
      </c>
      <c r="I12" s="12">
        <f>IF(OR(I$6="",I$8=""),"",'Leq &amp; Dose'!$L$29/(2^((I6-'Leq &amp; Dose'!$K$29)/'Leq &amp; Dose'!$M$29)))</f>
      </c>
      <c r="J12" s="12">
        <f>IF(OR(J$6="",J$8=""),"",'Leq &amp; Dose'!$L$29/(2^((J6-'Leq &amp; Dose'!$K$29)/'Leq &amp; Dose'!$M$29)))</f>
      </c>
      <c r="K12" s="12">
        <f>IF(OR(K$6="",K$8=""),"",'Leq &amp; Dose'!$L$29/(2^((K6-'Leq &amp; Dose'!$K$29)/'Leq &amp; Dose'!$M$29)))</f>
      </c>
      <c r="L12" s="1" t="s">
        <v>25</v>
      </c>
      <c r="M12" s="1" t="s">
        <v>55</v>
      </c>
    </row>
    <row r="13" spans="1:13" ht="12.75">
      <c r="A13" s="2" t="s">
        <v>32</v>
      </c>
      <c r="B13" s="14">
        <f aca="true" t="shared" si="0" ref="B13:K13">IF(B12="","",B8/B12)</f>
        <v>0.0625</v>
      </c>
      <c r="C13" s="14">
        <f t="shared" si="0"/>
        <v>0.125</v>
      </c>
      <c r="D13" s="14">
        <f t="shared" si="0"/>
        <v>0.1984251314960249</v>
      </c>
      <c r="E13" s="14">
        <f t="shared" si="0"/>
        <v>0.25</v>
      </c>
      <c r="F13" s="14">
        <f t="shared" si="0"/>
        <v>0.5</v>
      </c>
      <c r="G13" s="14">
        <f t="shared" si="0"/>
        <v>0.6299605249474366</v>
      </c>
      <c r="H13" s="14">
        <f t="shared" si="0"/>
        <v>1</v>
      </c>
      <c r="I13" s="14">
        <f t="shared" si="0"/>
      </c>
      <c r="J13" s="14">
        <f t="shared" si="0"/>
      </c>
      <c r="K13" s="14">
        <f t="shared" si="0"/>
      </c>
      <c r="L13" s="12">
        <f>100*SUM(B13:K13)</f>
        <v>276.58856564434615</v>
      </c>
      <c r="M13" s="6">
        <f>('Leq &amp; Dose'!M29/0.302)*LOG10(L13/100)+'Leq &amp; Dose'!K29</f>
        <v>89.38908167669919</v>
      </c>
    </row>
    <row r="14" ht="12.75"/>
    <row r="15" ht="12.75"/>
    <row r="16" spans="1:12" ht="12.75">
      <c r="A16" s="2" t="s">
        <v>31</v>
      </c>
      <c r="L16" s="1" t="str">
        <f>'Leq &amp; Dose'!J30</f>
        <v>PEL</v>
      </c>
    </row>
    <row r="17" spans="1:13" ht="15.75">
      <c r="A17" s="2" t="s">
        <v>29</v>
      </c>
      <c r="B17" s="12">
        <f>IF(OR(B$6="",B$8=""),"",'Leq &amp; Dose'!$L$30/(2^((B6-'Leq &amp; Dose'!$K$30)/'Leq &amp; Dose'!$M$30)))</f>
        <v>960</v>
      </c>
      <c r="C17" s="12">
        <f>IF(OR(C$6="",C$8=""),"",'Leq &amp; Dose'!$L$30/(2^((C6-'Leq &amp; Dose'!$K$30)/'Leq &amp; Dose'!$M$30)))</f>
        <v>633.3637971709892</v>
      </c>
      <c r="D17" s="12">
        <f>IF(OR(D$6="",D$8=""),"",'Leq &amp; Dose'!$L$30/(2^((D6-'Leq &amp; Dose'!$K$30)/'Leq &amp; Dose'!$M$30)))</f>
        <v>480</v>
      </c>
      <c r="E17" s="12">
        <f>IF(OR(E$6="",E$8=""),"",'Leq &amp; Dose'!$L$30/(2^((E6-'Leq &amp; Dose'!$K$30)/'Leq &amp; Dose'!$M$30)))</f>
        <v>417.8642703821396</v>
      </c>
      <c r="F17" s="12">
        <f>IF(OR(F$6="",F$8=""),"",'Leq &amp; Dose'!$L$30/(2^((F6-'Leq &amp; Dose'!$K$30)/'Leq &amp; Dose'!$M$30)))</f>
        <v>275.6876051992884</v>
      </c>
      <c r="G17" s="12">
        <f>IF(OR(G$6="",G$8=""),"",'Leq &amp; Dose'!$L$30/(2^((G6-'Leq &amp; Dose'!$K$30)/'Leq &amp; Dose'!$M$30)))</f>
        <v>240</v>
      </c>
      <c r="H17" s="12">
        <f>IF(OR(H$6="",H$8=""),"",'Leq &amp; Dose'!$L$30/(2^((H6-'Leq &amp; Dose'!$K$30)/'Leq &amp; Dose'!$M$30)))</f>
        <v>181.88598798124778</v>
      </c>
      <c r="I17" s="12">
        <f>IF(OR(I$6="",I$8=""),"",'Leq &amp; Dose'!$L$30/(2^((I6-'Leq &amp; Dose'!$K$30)/'Leq &amp; Dose'!$M$30)))</f>
      </c>
      <c r="J17" s="12">
        <f>IF(OR(J$6="",J$8=""),"",'Leq &amp; Dose'!$L$30/(2^((J6-'Leq &amp; Dose'!$K$30)/'Leq &amp; Dose'!$M$30)))</f>
      </c>
      <c r="K17" s="12">
        <f>IF(OR(K$6="",K$8=""),"",'Leq &amp; Dose'!$L$30/(2^((K6-'Leq &amp; Dose'!$K$30)/'Leq &amp; Dose'!$M$30)))</f>
      </c>
      <c r="L17" s="1" t="s">
        <v>25</v>
      </c>
      <c r="M17" s="1" t="s">
        <v>55</v>
      </c>
    </row>
    <row r="18" spans="1:13" ht="12.75">
      <c r="A18" s="2" t="s">
        <v>32</v>
      </c>
      <c r="B18" s="14">
        <f aca="true" t="shared" si="1" ref="B18:K18">IF(B17="","",B8/B17)</f>
        <v>0.03125</v>
      </c>
      <c r="C18" s="14">
        <f t="shared" si="1"/>
        <v>0.047366142703449944</v>
      </c>
      <c r="D18" s="14">
        <f t="shared" si="1"/>
        <v>0.0625</v>
      </c>
      <c r="E18" s="14">
        <f t="shared" si="1"/>
        <v>0.0717936471873147</v>
      </c>
      <c r="F18" s="14">
        <f t="shared" si="1"/>
        <v>0.10881882041201553</v>
      </c>
      <c r="G18" s="14">
        <f t="shared" si="1"/>
        <v>0.125</v>
      </c>
      <c r="H18" s="14">
        <f t="shared" si="1"/>
        <v>0.16493848884661177</v>
      </c>
      <c r="I18" s="14">
        <f t="shared" si="1"/>
      </c>
      <c r="J18" s="14">
        <f t="shared" si="1"/>
      </c>
      <c r="K18" s="14">
        <f t="shared" si="1"/>
      </c>
      <c r="L18" s="12">
        <f>100*SUM(B18:K18)</f>
        <v>61.1667099149392</v>
      </c>
      <c r="M18" s="6">
        <f>('Leq &amp; Dose'!M30/0.302)*LOG10(L18/100)+'Leq &amp; Dose'!K30</f>
        <v>86.4654821347509</v>
      </c>
    </row>
    <row r="19" spans="2:4" ht="12.75">
      <c r="B19" s="2"/>
      <c r="C19" s="2"/>
      <c r="D19" s="2"/>
    </row>
    <row r="20" spans="2:4" ht="12.75">
      <c r="B20" s="2"/>
      <c r="C20" s="2"/>
      <c r="D20" s="2"/>
    </row>
    <row r="21" spans="1:12" ht="12.75">
      <c r="A21" s="2" t="str">
        <f>'Leq &amp; Dose'!J31</f>
        <v>US Navy</v>
      </c>
      <c r="L21" s="1" t="str">
        <f>'Leq &amp; Dose'!J31</f>
        <v>US Navy</v>
      </c>
    </row>
    <row r="22" spans="1:13" ht="15.75">
      <c r="A22" s="2" t="s">
        <v>29</v>
      </c>
      <c r="B22" s="12">
        <f>IF(OR(B$6="",B$8=""),"",'Leq &amp; Dose'!$L$31/(2^((B6-'Leq &amp; Dose'!$K$31)/'Leq &amp; Dose'!$M$31)))</f>
        <v>403.630279321783</v>
      </c>
      <c r="C22" s="12">
        <f>IF(OR(C$6="",C$8=""),"",'Leq &amp; Dose'!$L$31/(2^((C6-'Leq &amp; Dose'!$K$31)/'Leq &amp; Dose'!$M$31)))</f>
        <v>240</v>
      </c>
      <c r="D22" s="12">
        <f>IF(OR(D$6="",D$8=""),"",'Leq &amp; Dose'!$L$31/(2^((D6-'Leq &amp; Dose'!$K$31)/'Leq &amp; Dose'!$M$31)))</f>
        <v>169.7056274847714</v>
      </c>
      <c r="E22" s="12">
        <f>IF(OR(E$6="",E$8=""),"",'Leq &amp; Dose'!$L$31/(2^((E6-'Leq &amp; Dose'!$K$31)/'Leq &amp; Dose'!$M$31)))</f>
        <v>142.70485380032653</v>
      </c>
      <c r="F22" s="12">
        <f>IF(OR(F$6="",F$8=""),"",'Leq &amp; Dose'!$L$31/(2^((F6-'Leq &amp; Dose'!$K$31)/'Leq &amp; Dose'!$M$31)))</f>
        <v>84.85281374238569</v>
      </c>
      <c r="G22" s="12">
        <f>IF(OR(G$6="",G$8=""),"",'Leq &amp; Dose'!$L$31/(2^((G6-'Leq &amp; Dose'!$K$31)/'Leq &amp; Dose'!$M$31)))</f>
        <v>71.35242690016325</v>
      </c>
      <c r="H22" s="12">
        <f>IF(OR(H$6="",H$8=""),"",'Leq &amp; Dose'!$L$31/(2^((H6-'Leq &amp; Dose'!$K$31)/'Leq &amp; Dose'!$M$31)))</f>
        <v>50.45378491522288</v>
      </c>
      <c r="I22" s="12">
        <f>IF(OR(I$6="",I$8=""),"",'Leq &amp; Dose'!$L$31/(2^((I6-'Leq &amp; Dose'!$K$31)/'Leq &amp; Dose'!$M$31)))</f>
      </c>
      <c r="J22" s="12">
        <f>IF(OR(J$6="",J$8=""),"",'Leq &amp; Dose'!$L$31/(2^((J6-'Leq &amp; Dose'!$K$31)/'Leq &amp; Dose'!$M$31)))</f>
      </c>
      <c r="K22" s="12">
        <f>IF(OR(K$6="",K$8=""),"",'Leq &amp; Dose'!$L$31/(2^((K6-'Leq &amp; Dose'!$K$31)/'Leq &amp; Dose'!$M$31)))</f>
      </c>
      <c r="L22" s="1" t="s">
        <v>25</v>
      </c>
      <c r="M22" s="1" t="s">
        <v>55</v>
      </c>
    </row>
    <row r="23" spans="1:13" ht="12.75">
      <c r="A23" s="2" t="s">
        <v>32</v>
      </c>
      <c r="B23" s="14">
        <f aca="true" t="shared" si="2" ref="B23:K23">IF(B22="","",B8/B22)</f>
        <v>0.07432544468767006</v>
      </c>
      <c r="C23" s="14">
        <f t="shared" si="2"/>
        <v>0.125</v>
      </c>
      <c r="D23" s="14">
        <f t="shared" si="2"/>
        <v>0.17677669529663687</v>
      </c>
      <c r="E23" s="14">
        <f t="shared" si="2"/>
        <v>0.21022410381342863</v>
      </c>
      <c r="F23" s="14">
        <f t="shared" si="2"/>
        <v>0.3535533905932738</v>
      </c>
      <c r="G23" s="14">
        <f t="shared" si="2"/>
        <v>0.42044820762685736</v>
      </c>
      <c r="H23" s="14">
        <f t="shared" si="2"/>
        <v>0.5946035575013604</v>
      </c>
      <c r="I23" s="14">
        <f t="shared" si="2"/>
      </c>
      <c r="J23" s="14">
        <f t="shared" si="2"/>
      </c>
      <c r="K23" s="14">
        <f t="shared" si="2"/>
      </c>
      <c r="L23" s="12">
        <f>100*SUM(B23:K23)</f>
        <v>195.49313995192273</v>
      </c>
      <c r="M23" s="6">
        <f>('Leq &amp; Dose'!M31/0.302)*LOG10(L23/100)+'Leq &amp; Dose'!K31</f>
        <v>87.85604665132946</v>
      </c>
    </row>
    <row r="24" spans="2:4" ht="12.75">
      <c r="B24" s="2"/>
      <c r="C24" s="2"/>
      <c r="D24" s="2"/>
    </row>
    <row r="25" ht="12.75"/>
    <row r="26" ht="12.75"/>
    <row r="27" spans="1:13" ht="12.75">
      <c r="A27" s="2" t="str">
        <f>Tables!A19</f>
        <v>Thomas E. Bernard</v>
      </c>
      <c r="J27" s="17" t="s">
        <v>26</v>
      </c>
      <c r="K27" s="2"/>
      <c r="L27" s="2"/>
      <c r="M27" s="2"/>
    </row>
    <row r="28" spans="1:13" ht="15.75">
      <c r="A28" s="2" t="str">
        <f>Tables!A20</f>
        <v>University of South Florida</v>
      </c>
      <c r="J28" s="2"/>
      <c r="K28" s="1" t="s">
        <v>53</v>
      </c>
      <c r="L28" s="1" t="s">
        <v>54</v>
      </c>
      <c r="M28" s="1" t="s">
        <v>17</v>
      </c>
    </row>
    <row r="29" spans="1:13" ht="12.75">
      <c r="A29" s="2" t="str">
        <f>Tables!A21</f>
        <v>College of Public Health</v>
      </c>
      <c r="J29" s="10" t="s">
        <v>7</v>
      </c>
      <c r="K29" s="1">
        <v>85</v>
      </c>
      <c r="L29" s="1">
        <v>480</v>
      </c>
      <c r="M29" s="1">
        <v>3</v>
      </c>
    </row>
    <row r="30" spans="1:13" ht="12.75">
      <c r="A30" s="2" t="str">
        <f>Tables!A22</f>
        <v>Tampa FL 33612</v>
      </c>
      <c r="J30" s="10" t="s">
        <v>18</v>
      </c>
      <c r="K30" s="1">
        <v>90</v>
      </c>
      <c r="L30" s="1">
        <v>480</v>
      </c>
      <c r="M30" s="1">
        <v>5</v>
      </c>
    </row>
    <row r="31" spans="1:13" ht="12">
      <c r="A31" s="2" t="str">
        <f>Tables!A23</f>
        <v>813-974-6629 // tbernard@health.usf.edu</v>
      </c>
      <c r="J31" s="20" t="s">
        <v>60</v>
      </c>
      <c r="K31" s="5">
        <v>84</v>
      </c>
      <c r="L31" s="5">
        <v>480</v>
      </c>
      <c r="M31" s="5">
        <v>4</v>
      </c>
    </row>
    <row r="32" ht="12">
      <c r="A32" s="2" t="str">
        <f>Tables!A24</f>
        <v>v3.0  4/21/09 © 2009 Thomas E. Bernard</v>
      </c>
    </row>
    <row r="33" ht="12">
      <c r="A33" s="2" t="str">
        <f>Tables!A25</f>
        <v>For updates, see http://personal.health.usf.edu/tbernard</v>
      </c>
    </row>
    <row r="34" ht="12">
      <c r="A34" s="2" t="str">
        <f>Tables!A26</f>
        <v>No warranty is expressed or implied.</v>
      </c>
    </row>
  </sheetData>
  <sheetProtection sheet="1" objects="1" scenarios="1"/>
  <mergeCells count="1">
    <mergeCell ref="A1:D1"/>
  </mergeCells>
  <printOptions horizontalCentered="1" verticalCentered="1"/>
  <pageMargins left="0.75" right="0.75" top="1" bottom="1" header="0.5" footer="0.5"/>
  <pageSetup fitToHeight="1" fitToWidth="1" orientation="landscape" paperSize="9" scale="87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showRowColHeaders="0" workbookViewId="0" topLeftCell="A1">
      <selection activeCell="A1" sqref="A1:B1"/>
    </sheetView>
  </sheetViews>
  <sheetFormatPr defaultColWidth="11.421875" defaultRowHeight="12.75"/>
  <cols>
    <col min="1" max="1" width="41.57421875" style="2" customWidth="1"/>
    <col min="2" max="9" width="14.00390625" style="1" customWidth="1"/>
    <col min="10" max="16384" width="10.8515625" style="2" customWidth="1"/>
  </cols>
  <sheetData>
    <row r="1" spans="1:2" ht="15">
      <c r="A1" s="25" t="s">
        <v>37</v>
      </c>
      <c r="B1" s="25"/>
    </row>
    <row r="4" spans="1:10" ht="12">
      <c r="A4" s="3" t="s">
        <v>0</v>
      </c>
      <c r="B4" s="4">
        <v>125</v>
      </c>
      <c r="C4" s="4">
        <v>250</v>
      </c>
      <c r="D4" s="4">
        <v>500</v>
      </c>
      <c r="E4" s="4">
        <v>1000</v>
      </c>
      <c r="F4" s="4">
        <v>2000</v>
      </c>
      <c r="G4" s="4">
        <v>4000</v>
      </c>
      <c r="H4" s="4">
        <v>8000</v>
      </c>
      <c r="I4" s="4" t="s">
        <v>1</v>
      </c>
      <c r="J4" s="1"/>
    </row>
    <row r="5" spans="1:10" ht="12">
      <c r="A5" s="3"/>
      <c r="B5" s="4"/>
      <c r="C5" s="4"/>
      <c r="D5" s="4"/>
      <c r="E5" s="4"/>
      <c r="F5" s="4"/>
      <c r="G5" s="4"/>
      <c r="H5" s="4"/>
      <c r="I5" s="4"/>
      <c r="J5" s="1"/>
    </row>
    <row r="6" spans="1:9" ht="12">
      <c r="A6" s="3" t="s">
        <v>3</v>
      </c>
      <c r="B6" s="4"/>
      <c r="C6" s="4"/>
      <c r="D6" s="4"/>
      <c r="E6" s="4"/>
      <c r="F6" s="4"/>
      <c r="G6" s="4"/>
      <c r="H6" s="4"/>
      <c r="I6" s="4"/>
    </row>
    <row r="7" spans="1:9" ht="12">
      <c r="A7" s="2" t="s">
        <v>2</v>
      </c>
      <c r="B7" s="5">
        <v>96</v>
      </c>
      <c r="C7" s="5">
        <v>100</v>
      </c>
      <c r="D7" s="5">
        <v>104</v>
      </c>
      <c r="E7" s="5">
        <v>106</v>
      </c>
      <c r="F7" s="5">
        <v>100</v>
      </c>
      <c r="G7" s="5">
        <v>95</v>
      </c>
      <c r="H7" s="5">
        <v>90</v>
      </c>
      <c r="I7" s="6">
        <f>10*LOG10(I8)</f>
        <v>109.68823389452751</v>
      </c>
    </row>
    <row r="8" spans="1:9" ht="12">
      <c r="A8" s="7" t="s">
        <v>59</v>
      </c>
      <c r="B8" s="8">
        <f aca="true" t="shared" si="0" ref="B8:H8">10^(B7/10)</f>
        <v>3981071705.534975</v>
      </c>
      <c r="C8" s="8">
        <f t="shared" si="0"/>
        <v>10000000000</v>
      </c>
      <c r="D8" s="8">
        <f t="shared" si="0"/>
        <v>25118864315.095894</v>
      </c>
      <c r="E8" s="8">
        <f t="shared" si="0"/>
        <v>39810717055.34979</v>
      </c>
      <c r="F8" s="8">
        <f t="shared" si="0"/>
        <v>10000000000</v>
      </c>
      <c r="G8" s="8">
        <f t="shared" si="0"/>
        <v>3162277660.1683846</v>
      </c>
      <c r="H8" s="8">
        <f t="shared" si="0"/>
        <v>1000000000</v>
      </c>
      <c r="I8" s="8">
        <f>SUM(B8:H8)</f>
        <v>93072930736.14903</v>
      </c>
    </row>
    <row r="10" spans="1:8" ht="12">
      <c r="A10" s="2" t="s">
        <v>33</v>
      </c>
      <c r="B10" s="6">
        <v>-16.1</v>
      </c>
      <c r="C10" s="6">
        <v>-8.6</v>
      </c>
      <c r="D10" s="6">
        <v>-3.2</v>
      </c>
      <c r="E10" s="6">
        <v>0</v>
      </c>
      <c r="F10" s="6">
        <v>1.2</v>
      </c>
      <c r="G10" s="6">
        <v>1</v>
      </c>
      <c r="H10" s="6">
        <v>-1.1</v>
      </c>
    </row>
    <row r="12" spans="1:9" ht="12">
      <c r="A12" s="2" t="s">
        <v>36</v>
      </c>
      <c r="B12" s="6">
        <f>B7+B10</f>
        <v>79.9</v>
      </c>
      <c r="C12" s="6">
        <f aca="true" t="shared" si="1" ref="C12:H12">C7+C10</f>
        <v>91.4</v>
      </c>
      <c r="D12" s="6">
        <f t="shared" si="1"/>
        <v>100.8</v>
      </c>
      <c r="E12" s="6">
        <f t="shared" si="1"/>
        <v>106</v>
      </c>
      <c r="F12" s="6">
        <f t="shared" si="1"/>
        <v>101.2</v>
      </c>
      <c r="G12" s="6">
        <f t="shared" si="1"/>
        <v>96</v>
      </c>
      <c r="H12" s="6">
        <f t="shared" si="1"/>
        <v>88.9</v>
      </c>
      <c r="I12" s="6">
        <f>10*LOG10(I13)</f>
        <v>108.52793131448834</v>
      </c>
    </row>
    <row r="13" spans="1:10" ht="12">
      <c r="A13" s="7" t="s">
        <v>59</v>
      </c>
      <c r="B13" s="8">
        <f aca="true" t="shared" si="2" ref="B13:H13">10^(B12/10)</f>
        <v>97723722.09558125</v>
      </c>
      <c r="C13" s="8">
        <f t="shared" si="2"/>
        <v>1380384264.602892</v>
      </c>
      <c r="D13" s="8">
        <f t="shared" si="2"/>
        <v>12022644346.174168</v>
      </c>
      <c r="E13" s="8">
        <f t="shared" si="2"/>
        <v>39810717055.34979</v>
      </c>
      <c r="F13" s="8">
        <f t="shared" si="2"/>
        <v>13182567385.564108</v>
      </c>
      <c r="G13" s="8">
        <f t="shared" si="2"/>
        <v>3981071705.534975</v>
      </c>
      <c r="H13" s="8">
        <f t="shared" si="2"/>
        <v>776247116.6286948</v>
      </c>
      <c r="I13" s="8">
        <f>SUM(B13:H13)</f>
        <v>71251355595.95021</v>
      </c>
      <c r="J13" s="1"/>
    </row>
    <row r="14" ht="12">
      <c r="J14" s="1"/>
    </row>
    <row r="15" ht="12">
      <c r="J15" s="1"/>
    </row>
    <row r="16" spans="1:10" ht="12">
      <c r="A16" s="3" t="s">
        <v>52</v>
      </c>
      <c r="B16" s="2"/>
      <c r="J16" s="1"/>
    </row>
    <row r="17" spans="1:10" ht="12">
      <c r="A17" s="2" t="s">
        <v>5</v>
      </c>
      <c r="B17" s="21">
        <f>((0.0000000004)/415)*10^(B7/10)</f>
        <v>0.003837177547503591</v>
      </c>
      <c r="C17" s="21">
        <f aca="true" t="shared" si="3" ref="C17:H17">((0.0000000004)/415)*10^(C7/10)</f>
        <v>0.00963855421686747</v>
      </c>
      <c r="D17" s="21">
        <f t="shared" si="3"/>
        <v>0.02421095355671894</v>
      </c>
      <c r="E17" s="21">
        <f t="shared" si="3"/>
        <v>0.03837177547503595</v>
      </c>
      <c r="F17" s="21">
        <f t="shared" si="3"/>
        <v>0.00963855421686747</v>
      </c>
      <c r="G17" s="21">
        <f t="shared" si="3"/>
        <v>0.0030479784676321784</v>
      </c>
      <c r="H17" s="21">
        <f t="shared" si="3"/>
        <v>0.0009638554216867472</v>
      </c>
      <c r="I17" s="9">
        <f>SUM(B17:H17)</f>
        <v>0.08970884890231234</v>
      </c>
      <c r="J17" s="1"/>
    </row>
    <row r="18" spans="9:10" ht="12">
      <c r="I18" s="9"/>
      <c r="J18" s="1"/>
    </row>
    <row r="19" spans="1:10" ht="12">
      <c r="A19" s="2" t="s">
        <v>34</v>
      </c>
      <c r="B19" s="15">
        <v>0.02454708915685033</v>
      </c>
      <c r="C19" s="15">
        <v>0.1380384264602886</v>
      </c>
      <c r="D19" s="15">
        <v>0.478630092322638</v>
      </c>
      <c r="E19" s="15">
        <v>1</v>
      </c>
      <c r="F19" s="15">
        <v>1.3182567385564101</v>
      </c>
      <c r="G19" s="15">
        <v>1.258925411794166</v>
      </c>
      <c r="H19" s="15">
        <v>0.7762471166286926</v>
      </c>
      <c r="I19" s="9"/>
      <c r="J19" s="1"/>
    </row>
    <row r="20" spans="9:10" ht="12">
      <c r="I20" s="9"/>
      <c r="J20" s="1"/>
    </row>
    <row r="21" spans="1:10" ht="12">
      <c r="A21" s="2" t="s">
        <v>48</v>
      </c>
      <c r="B21" s="21">
        <f>B17*B19</f>
        <v>9.419153936923494E-05</v>
      </c>
      <c r="C21" s="21">
        <f aca="true" t="shared" si="4" ref="C21:H21">C17*C19</f>
        <v>0.001330490857448565</v>
      </c>
      <c r="D21" s="21">
        <f t="shared" si="4"/>
        <v>0.011588090936071486</v>
      </c>
      <c r="E21" s="21">
        <f t="shared" si="4"/>
        <v>0.03837177547503595</v>
      </c>
      <c r="F21" s="21">
        <f t="shared" si="4"/>
        <v>0.012706089046326845</v>
      </c>
      <c r="G21" s="21">
        <f t="shared" si="4"/>
        <v>0.0038371775475035913</v>
      </c>
      <c r="H21" s="21">
        <f t="shared" si="4"/>
        <v>0.0007481899919312701</v>
      </c>
      <c r="I21" s="9">
        <f>SUM(B21:H21)</f>
        <v>0.06867600539368696</v>
      </c>
      <c r="J21" s="1"/>
    </row>
    <row r="22" ht="12">
      <c r="J22" s="1"/>
    </row>
    <row r="23" ht="12">
      <c r="J23" s="1"/>
    </row>
    <row r="24" spans="1:10" ht="12">
      <c r="A24" s="3" t="s">
        <v>9</v>
      </c>
      <c r="J24" s="1"/>
    </row>
    <row r="25" spans="1:10" ht="12">
      <c r="A25" s="2" t="s">
        <v>6</v>
      </c>
      <c r="B25" s="1" t="s">
        <v>7</v>
      </c>
      <c r="C25" s="1" t="s">
        <v>18</v>
      </c>
      <c r="J25" s="1"/>
    </row>
    <row r="26" spans="1:10" ht="12">
      <c r="A26" s="2" t="s">
        <v>55</v>
      </c>
      <c r="B26" s="1">
        <v>85</v>
      </c>
      <c r="C26" s="1">
        <v>90</v>
      </c>
      <c r="J26" s="1"/>
    </row>
    <row r="27" spans="1:10" ht="12">
      <c r="A27" s="2" t="s">
        <v>50</v>
      </c>
      <c r="B27" s="11">
        <f>((0.0000000004)/415)*10^(B26/10)</f>
        <v>0.0003047978467632175</v>
      </c>
      <c r="C27" s="11">
        <f>((0.0000000004)/415)*10^(C26/10)</f>
        <v>0.0009638554216867472</v>
      </c>
      <c r="J27" s="1"/>
    </row>
    <row r="28" ht="12">
      <c r="J28" s="1"/>
    </row>
    <row r="29" spans="8:9" ht="12">
      <c r="H29" s="23" t="s">
        <v>35</v>
      </c>
      <c r="I29" s="23"/>
    </row>
    <row r="30" spans="1:9" ht="12">
      <c r="A30" s="2" t="str">
        <f>Tables!A19</f>
        <v>Thomas E. Bernard</v>
      </c>
      <c r="H30" s="1" t="s">
        <v>7</v>
      </c>
      <c r="I30" s="1" t="s">
        <v>18</v>
      </c>
    </row>
    <row r="31" spans="1:9" ht="12">
      <c r="A31" s="2" t="str">
        <f>Tables!A20</f>
        <v>University of South Florida</v>
      </c>
      <c r="G31" s="10" t="s">
        <v>8</v>
      </c>
      <c r="H31" s="6">
        <f>$I$12-B26</f>
        <v>23.52793131448834</v>
      </c>
      <c r="I31" s="6">
        <f>$I$12-C26</f>
        <v>18.52793131448834</v>
      </c>
    </row>
    <row r="32" spans="1:9" ht="12">
      <c r="A32" s="2" t="str">
        <f>Tables!A21</f>
        <v>College of Public Health</v>
      </c>
      <c r="G32" s="10" t="s">
        <v>45</v>
      </c>
      <c r="H32" s="12">
        <f>10^(H31/10)</f>
        <v>225.3165700577867</v>
      </c>
      <c r="I32" s="12">
        <f>10^(I31/10)</f>
        <v>71.25135559595027</v>
      </c>
    </row>
    <row r="33" spans="1:9" ht="12">
      <c r="A33" s="2" t="str">
        <f>Tables!A22</f>
        <v>Tampa FL 33612</v>
      </c>
      <c r="G33" s="10" t="s">
        <v>44</v>
      </c>
      <c r="H33" s="12">
        <f>$I$21/B27</f>
        <v>225.31657005778646</v>
      </c>
      <c r="I33" s="12">
        <f>$I$21/C27</f>
        <v>71.2513555959502</v>
      </c>
    </row>
    <row r="34" ht="12">
      <c r="A34" s="2" t="str">
        <f>Tables!A23</f>
        <v>813-974-6629 // tbernard@health.usf.edu</v>
      </c>
    </row>
    <row r="35" spans="1:9" ht="12">
      <c r="A35" s="2" t="str">
        <f>Tables!A24</f>
        <v>v3.0  4/21/09 © 2009 Thomas E. Bernard</v>
      </c>
      <c r="H35" s="22"/>
      <c r="I35" s="22" t="s">
        <v>51</v>
      </c>
    </row>
    <row r="36" spans="1:9" ht="12">
      <c r="A36" s="2" t="str">
        <f>Tables!A25</f>
        <v>For updates, see http://personal.health.usf.edu/tbernard</v>
      </c>
      <c r="H36" s="10" t="s">
        <v>46</v>
      </c>
      <c r="I36" s="14">
        <f>10^(I7/20)*2*10^-5</f>
        <v>6.101571297170898</v>
      </c>
    </row>
    <row r="37" spans="1:9" ht="12">
      <c r="A37" s="2" t="str">
        <f>Tables!A26</f>
        <v>No warranty is expressed or implied.</v>
      </c>
      <c r="H37" s="10" t="s">
        <v>47</v>
      </c>
      <c r="I37" s="14">
        <f>10^(I12/20)*2*10^-5</f>
        <v>5.338589911051435</v>
      </c>
    </row>
  </sheetData>
  <sheetProtection sheet="1" objects="1" scenarios="1"/>
  <mergeCells count="1">
    <mergeCell ref="A1:B1"/>
  </mergeCells>
  <printOptions horizontalCentered="1" verticalCentered="1"/>
  <pageMargins left="0.75" right="0.75" top="1" bottom="1" header="0.5" footer="0.5"/>
  <pageSetup fitToHeight="1" fitToWidth="1" orientation="portrait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RowColHeaders="0" workbookViewId="0" topLeftCell="A1">
      <selection activeCell="A1" sqref="A1:B1"/>
    </sheetView>
  </sheetViews>
  <sheetFormatPr defaultColWidth="11.421875" defaultRowHeight="12.75"/>
  <cols>
    <col min="1" max="1" width="40.00390625" style="2" customWidth="1"/>
    <col min="2" max="8" width="13.00390625" style="1" customWidth="1"/>
    <col min="9" max="16384" width="10.8515625" style="2" customWidth="1"/>
  </cols>
  <sheetData>
    <row r="1" spans="1:2" ht="15">
      <c r="A1" s="25" t="s">
        <v>28</v>
      </c>
      <c r="B1" s="25"/>
    </row>
    <row r="3" spans="1:8" ht="12">
      <c r="A3" s="3" t="s">
        <v>0</v>
      </c>
      <c r="B3" s="4">
        <v>125</v>
      </c>
      <c r="C3" s="4">
        <v>250</v>
      </c>
      <c r="D3" s="4">
        <v>500</v>
      </c>
      <c r="E3" s="4">
        <v>1000</v>
      </c>
      <c r="F3" s="4">
        <v>2000</v>
      </c>
      <c r="G3" s="4">
        <v>4000</v>
      </c>
      <c r="H3" s="4">
        <v>8000</v>
      </c>
    </row>
    <row r="5" spans="1:8" ht="12">
      <c r="A5" s="3" t="s">
        <v>23</v>
      </c>
      <c r="B5" s="6"/>
      <c r="C5" s="6"/>
      <c r="D5" s="6"/>
      <c r="E5" s="6"/>
      <c r="F5" s="6"/>
      <c r="G5" s="6"/>
      <c r="H5" s="6"/>
    </row>
    <row r="6" spans="1:8" ht="12">
      <c r="A6" s="2" t="s">
        <v>40</v>
      </c>
      <c r="B6" s="6">
        <v>101.1</v>
      </c>
      <c r="C6" s="6">
        <v>93.6</v>
      </c>
      <c r="D6" s="6">
        <v>88.2</v>
      </c>
      <c r="E6" s="6">
        <v>85</v>
      </c>
      <c r="F6" s="6">
        <v>83.8</v>
      </c>
      <c r="G6" s="6">
        <v>84</v>
      </c>
      <c r="H6" s="6">
        <v>86.1</v>
      </c>
    </row>
    <row r="7" ht="12">
      <c r="A7" s="7"/>
    </row>
    <row r="8" spans="1:8" ht="12">
      <c r="A8" s="2" t="s">
        <v>4</v>
      </c>
      <c r="B8" s="6">
        <f>B6-$E$6</f>
        <v>16.099999999999994</v>
      </c>
      <c r="C8" s="6">
        <f aca="true" t="shared" si="0" ref="C8:H8">C6-$E$6</f>
        <v>8.599999999999994</v>
      </c>
      <c r="D8" s="6">
        <f t="shared" si="0"/>
        <v>3.200000000000003</v>
      </c>
      <c r="E8" s="6">
        <f t="shared" si="0"/>
        <v>0</v>
      </c>
      <c r="F8" s="6">
        <f t="shared" si="0"/>
        <v>-1.2000000000000028</v>
      </c>
      <c r="G8" s="6">
        <f t="shared" si="0"/>
        <v>-1</v>
      </c>
      <c r="H8" s="6">
        <f t="shared" si="0"/>
        <v>1.0999999999999943</v>
      </c>
    </row>
    <row r="10" spans="1:8" ht="12">
      <c r="A10" s="2" t="s">
        <v>27</v>
      </c>
      <c r="B10" s="6">
        <f>-B8</f>
        <v>-16.099999999999994</v>
      </c>
      <c r="C10" s="6">
        <f aca="true" t="shared" si="1" ref="C10:H10">-C8</f>
        <v>-8.599999999999994</v>
      </c>
      <c r="D10" s="6">
        <f t="shared" si="1"/>
        <v>-3.200000000000003</v>
      </c>
      <c r="E10" s="6">
        <f t="shared" si="1"/>
        <v>0</v>
      </c>
      <c r="F10" s="6">
        <f t="shared" si="1"/>
        <v>1.2000000000000028</v>
      </c>
      <c r="G10" s="6">
        <f t="shared" si="1"/>
        <v>1</v>
      </c>
      <c r="H10" s="6">
        <f t="shared" si="1"/>
        <v>-1.0999999999999943</v>
      </c>
    </row>
    <row r="13" spans="1:2" ht="12">
      <c r="A13" s="3" t="s">
        <v>49</v>
      </c>
      <c r="B13" s="2"/>
    </row>
    <row r="14" spans="1:8" ht="12">
      <c r="A14" s="2" t="s">
        <v>57</v>
      </c>
      <c r="B14" s="24">
        <f>((0.0000000004)/415)*10^(B6/10)</f>
        <v>0.012416863148849478</v>
      </c>
      <c r="C14" s="24">
        <f aca="true" t="shared" si="2" ref="C14:H14">((0.0000000004)/415)*10^(C6/10)</f>
        <v>0.0022080652074870093</v>
      </c>
      <c r="D14" s="24">
        <f t="shared" si="2"/>
        <v>0.0006368129619350331</v>
      </c>
      <c r="E14" s="24">
        <f t="shared" si="2"/>
        <v>0.0003047978467632175</v>
      </c>
      <c r="F14" s="24">
        <f t="shared" si="2"/>
        <v>0.00023121281147175772</v>
      </c>
      <c r="G14" s="24">
        <f t="shared" si="2"/>
        <v>0.00024210953556718883</v>
      </c>
      <c r="H14" s="24">
        <f t="shared" si="2"/>
        <v>0.000392655689449747</v>
      </c>
    </row>
    <row r="15" spans="2:8" ht="12">
      <c r="B15" s="18"/>
      <c r="C15" s="18"/>
      <c r="D15" s="18"/>
      <c r="E15" s="18"/>
      <c r="F15" s="18"/>
      <c r="G15" s="18"/>
      <c r="H15" s="18"/>
    </row>
    <row r="16" spans="1:8" ht="12">
      <c r="A16" s="2" t="s">
        <v>58</v>
      </c>
      <c r="B16" s="19">
        <f>B14*10^3</f>
        <v>12.416863148849478</v>
      </c>
      <c r="C16" s="19">
        <f aca="true" t="shared" si="3" ref="C16:H16">C14*10^3</f>
        <v>2.2080652074870093</v>
      </c>
      <c r="D16" s="19">
        <f t="shared" si="3"/>
        <v>0.6368129619350331</v>
      </c>
      <c r="E16" s="19">
        <f t="shared" si="3"/>
        <v>0.3047978467632175</v>
      </c>
      <c r="F16" s="19">
        <f t="shared" si="3"/>
        <v>0.2312128114717577</v>
      </c>
      <c r="G16" s="19">
        <f t="shared" si="3"/>
        <v>0.24210953556718884</v>
      </c>
      <c r="H16" s="19">
        <f t="shared" si="3"/>
        <v>0.39265568944974705</v>
      </c>
    </row>
    <row r="18" spans="1:8" ht="12">
      <c r="A18" s="2" t="s">
        <v>4</v>
      </c>
      <c r="B18" s="15">
        <f>B14/$E$14</f>
        <v>40.73802778041123</v>
      </c>
      <c r="C18" s="15">
        <f aca="true" t="shared" si="4" ref="C18:H18">C14/$E$14</f>
        <v>7.244359600749894</v>
      </c>
      <c r="D18" s="15">
        <f t="shared" si="4"/>
        <v>2.089296130854041</v>
      </c>
      <c r="E18" s="15">
        <f t="shared" si="4"/>
        <v>1</v>
      </c>
      <c r="F18" s="15">
        <f t="shared" si="4"/>
        <v>0.758577575029182</v>
      </c>
      <c r="G18" s="15">
        <f t="shared" si="4"/>
        <v>0.7943282347242823</v>
      </c>
      <c r="H18" s="15">
        <f t="shared" si="4"/>
        <v>1.2882495516931325</v>
      </c>
    </row>
    <row r="20" spans="1:8" ht="12">
      <c r="A20" s="2" t="s">
        <v>27</v>
      </c>
      <c r="B20" s="15">
        <f>1/B18</f>
        <v>0.02454708915685033</v>
      </c>
      <c r="C20" s="15">
        <f aca="true" t="shared" si="5" ref="C20:H20">1/C18</f>
        <v>0.1380384264602886</v>
      </c>
      <c r="D20" s="15">
        <f t="shared" si="5"/>
        <v>0.478630092322638</v>
      </c>
      <c r="E20" s="15">
        <f t="shared" si="5"/>
        <v>1</v>
      </c>
      <c r="F20" s="15">
        <f t="shared" si="5"/>
        <v>1.3182567385564101</v>
      </c>
      <c r="G20" s="15">
        <f t="shared" si="5"/>
        <v>1.258925411794166</v>
      </c>
      <c r="H20" s="15">
        <f t="shared" si="5"/>
        <v>0.7762471166286926</v>
      </c>
    </row>
    <row r="22" spans="2:8" ht="12">
      <c r="B22" s="11"/>
      <c r="C22" s="11"/>
      <c r="G22" s="10"/>
      <c r="H22" s="12"/>
    </row>
    <row r="24" ht="12">
      <c r="A24" s="2" t="str">
        <f>Tables!A19</f>
        <v>Thomas E. Bernard</v>
      </c>
    </row>
    <row r="25" ht="12">
      <c r="A25" s="2" t="str">
        <f>Tables!A20</f>
        <v>University of South Florida</v>
      </c>
    </row>
    <row r="26" ht="12">
      <c r="A26" s="2" t="str">
        <f>Tables!A21</f>
        <v>College of Public Health</v>
      </c>
    </row>
    <row r="27" ht="12">
      <c r="A27" s="2" t="str">
        <f>Tables!A22</f>
        <v>Tampa FL 33612</v>
      </c>
    </row>
    <row r="28" ht="12">
      <c r="A28" s="2" t="str">
        <f>Tables!A23</f>
        <v>813-974-6629 // tbernard@health.usf.edu</v>
      </c>
    </row>
    <row r="29" ht="12">
      <c r="A29" s="2" t="str">
        <f>Tables!A24</f>
        <v>v3.0  4/21/09 © 2009 Thomas E. Bernard</v>
      </c>
    </row>
    <row r="30" ht="12">
      <c r="A30" s="2" t="str">
        <f>Tables!A25</f>
        <v>For updates, see http://personal.health.usf.edu/tbernard</v>
      </c>
    </row>
    <row r="31" ht="12">
      <c r="A31" s="2" t="str">
        <f>Tables!A26</f>
        <v>No warranty is expressed or implied.</v>
      </c>
    </row>
  </sheetData>
  <sheetProtection sheet="1" objects="1" scenarios="1"/>
  <mergeCells count="1">
    <mergeCell ref="A1:B1"/>
  </mergeCells>
  <printOptions horizontalCentered="1" verticalCentered="1"/>
  <pageMargins left="0.75" right="0.75" top="1" bottom="1" header="0.5" footer="0.5"/>
  <pageSetup fitToHeight="1" fitToWidth="1" orientation="portrait" paperSize="9" scale="8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showGridLines="0" showRowColHeaders="0" workbookViewId="0" topLeftCell="A1">
      <selection activeCell="A1" sqref="A1"/>
    </sheetView>
  </sheetViews>
  <sheetFormatPr defaultColWidth="10.8515625" defaultRowHeight="12.75"/>
  <cols>
    <col min="1" max="16384" width="10.8515625" style="2" customWidth="1"/>
  </cols>
  <sheetData>
    <row r="1" ht="15">
      <c r="A1" s="13" t="s">
        <v>38</v>
      </c>
    </row>
    <row r="19" ht="12">
      <c r="A19" s="2" t="s">
        <v>19</v>
      </c>
    </row>
    <row r="20" ht="12">
      <c r="A20" s="2" t="s">
        <v>21</v>
      </c>
    </row>
    <row r="21" ht="12">
      <c r="A21" s="2" t="s">
        <v>20</v>
      </c>
    </row>
    <row r="22" ht="12">
      <c r="A22" s="2" t="s">
        <v>22</v>
      </c>
    </row>
    <row r="23" ht="12">
      <c r="A23" s="2" t="s">
        <v>63</v>
      </c>
    </row>
    <row r="24" ht="12">
      <c r="A24" s="2" t="s">
        <v>61</v>
      </c>
    </row>
    <row r="25" ht="12">
      <c r="A25" s="2" t="s">
        <v>62</v>
      </c>
    </row>
    <row r="26" ht="12">
      <c r="A26" s="2" t="s">
        <v>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Friedrich Engels</cp:lastModifiedBy>
  <cp:lastPrinted>1999-03-02T14:58:42Z</cp:lastPrinted>
  <dcterms:created xsi:type="dcterms:W3CDTF">1999-03-02T14:52:07Z</dcterms:created>
  <cp:category/>
  <cp:version/>
  <cp:contentType/>
  <cp:contentStatus/>
</cp:coreProperties>
</file>